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ruth_day_ky_gov/Documents/COT/"/>
    </mc:Choice>
  </mc:AlternateContent>
  <xr:revisionPtr revIDLastSave="0" documentId="8_{A55EE22C-EEEA-48C0-8CCC-FE3E27B6699B}" xr6:coauthVersionLast="47" xr6:coauthVersionMax="47" xr10:uidLastSave="{00000000-0000-0000-0000-000000000000}"/>
  <bookViews>
    <workbookView xWindow="-28920" yWindow="2820" windowWidth="29040" windowHeight="15840" xr2:uid="{E8C85F80-A4D3-4265-BCAA-7BA3727525AB}"/>
  </bookViews>
  <sheets>
    <sheet name=" COT Final q4 LRC Report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H33" i="1"/>
  <c r="K32" i="1"/>
  <c r="H32" i="1"/>
  <c r="G31" i="1"/>
  <c r="K31" i="1" s="1"/>
  <c r="G30" i="1"/>
  <c r="K30" i="1" s="1"/>
  <c r="G29" i="1"/>
  <c r="K29" i="1" s="1"/>
  <c r="G28" i="1"/>
  <c r="K28" i="1" s="1"/>
  <c r="K27" i="1"/>
  <c r="H27" i="1"/>
  <c r="K26" i="1"/>
  <c r="H26" i="1"/>
  <c r="G25" i="1"/>
  <c r="K25" i="1" s="1"/>
  <c r="K24" i="1"/>
  <c r="H24" i="1"/>
  <c r="K23" i="1"/>
  <c r="H23" i="1"/>
  <c r="K22" i="1"/>
  <c r="H22" i="1"/>
  <c r="G21" i="1"/>
  <c r="K21" i="1" s="1"/>
  <c r="K20" i="1"/>
  <c r="H20" i="1"/>
  <c r="G19" i="1"/>
  <c r="K19" i="1" s="1"/>
  <c r="G18" i="1"/>
  <c r="K18" i="1" s="1"/>
  <c r="G17" i="1"/>
  <c r="H17" i="1" s="1"/>
  <c r="K16" i="1"/>
  <c r="H16" i="1"/>
  <c r="L16" i="1" s="1"/>
  <c r="G15" i="1"/>
  <c r="K15" i="1" s="1"/>
  <c r="G14" i="1"/>
  <c r="H14" i="1" s="1"/>
  <c r="K13" i="1"/>
  <c r="H13" i="1"/>
  <c r="L13" i="1" s="1"/>
  <c r="G12" i="1"/>
  <c r="H12" i="1" s="1"/>
  <c r="G11" i="1"/>
  <c r="H11" i="1" s="1"/>
  <c r="G10" i="1"/>
  <c r="K10" i="1" s="1"/>
  <c r="G9" i="1"/>
  <c r="H9" i="1" s="1"/>
  <c r="G8" i="1"/>
  <c r="K8" i="1" s="1"/>
  <c r="K7" i="1"/>
  <c r="H7" i="1"/>
  <c r="G6" i="1"/>
  <c r="K6" i="1" s="1"/>
  <c r="G5" i="1"/>
  <c r="K5" i="1" s="1"/>
  <c r="K4" i="1"/>
  <c r="H4" i="1"/>
  <c r="K3" i="1"/>
  <c r="H3" i="1"/>
  <c r="K2" i="1"/>
  <c r="H2" i="1"/>
  <c r="H28" i="1" l="1"/>
  <c r="K12" i="1"/>
  <c r="H31" i="1"/>
  <c r="L33" i="1"/>
  <c r="L22" i="1"/>
  <c r="K9" i="1"/>
  <c r="L9" i="1" s="1"/>
  <c r="H5" i="1"/>
  <c r="L5" i="1" s="1"/>
  <c r="K14" i="1"/>
  <c r="L14" i="1" s="1"/>
  <c r="L2" i="1"/>
  <c r="H8" i="1"/>
  <c r="K11" i="1"/>
  <c r="L27" i="1"/>
  <c r="H30" i="1"/>
  <c r="L30" i="1" s="1"/>
  <c r="L3" i="1"/>
  <c r="H10" i="1"/>
  <c r="L10" i="1" s="1"/>
  <c r="H29" i="1"/>
  <c r="L29" i="1" s="1"/>
  <c r="L32" i="1"/>
  <c r="L8" i="1"/>
  <c r="L20" i="1"/>
  <c r="L31" i="1"/>
  <c r="L7" i="1"/>
  <c r="L12" i="1"/>
  <c r="L23" i="1"/>
  <c r="L26" i="1"/>
  <c r="L4" i="1"/>
  <c r="L11" i="1"/>
  <c r="L24" i="1"/>
  <c r="L28" i="1"/>
  <c r="H6" i="1"/>
  <c r="L6" i="1" s="1"/>
  <c r="H18" i="1"/>
  <c r="L18" i="1" s="1"/>
  <c r="H25" i="1"/>
  <c r="L25" i="1" s="1"/>
  <c r="H19" i="1"/>
  <c r="L19" i="1" s="1"/>
  <c r="H15" i="1"/>
  <c r="L15" i="1" s="1"/>
  <c r="K17" i="1"/>
  <c r="L17" i="1" s="1"/>
  <c r="H21" i="1"/>
  <c r="L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jennifer.stigers</author>
    <author>Jeff.Fredricks</author>
  </authors>
  <commentList>
    <comment ref="F1" authorId="0" shapeId="0" xr:uid="{5B2D607F-C80D-4146-B777-4D5A0381E939}">
      <text>
        <r>
          <rPr>
            <b/>
            <sz val="9"/>
            <color indexed="81"/>
            <rFont val="Tahoma"/>
            <family val="2"/>
          </rPr>
          <t>jennifer.stigers:</t>
        </r>
        <r>
          <rPr>
            <sz val="9"/>
            <color indexed="81"/>
            <rFont val="Tahoma"/>
            <family val="2"/>
          </rPr>
          <t xml:space="preserve">
appropriation inquiry-current budget</t>
        </r>
      </text>
    </comment>
    <comment ref="G1" authorId="0" shapeId="0" xr:uid="{65BC65AB-ADAF-4AB9-8922-D9D1BB8140E4}">
      <text>
        <r>
          <rPr>
            <b/>
            <sz val="9"/>
            <color indexed="81"/>
            <rFont val="Tahoma"/>
            <family val="2"/>
          </rPr>
          <t>jennifer.stigers:</t>
        </r>
        <r>
          <rPr>
            <sz val="9"/>
            <color indexed="81"/>
            <rFont val="Tahoma"/>
            <family val="2"/>
          </rPr>
          <t xml:space="preserve">
allotment inquiry-current budget</t>
        </r>
      </text>
    </comment>
    <comment ref="I1" authorId="0" shapeId="0" xr:uid="{76CBC1E4-613C-4061-B39B-C3FEA2BB366D}">
      <text>
        <r>
          <rPr>
            <b/>
            <sz val="9"/>
            <color indexed="81"/>
            <rFont val="Tahoma"/>
            <family val="2"/>
          </rPr>
          <t>jennifer.stigers:</t>
        </r>
        <r>
          <rPr>
            <sz val="9"/>
            <color indexed="81"/>
            <rFont val="Tahoma"/>
            <family val="2"/>
          </rPr>
          <t xml:space="preserve">
appropriation inquiry-encumbered</t>
        </r>
      </text>
    </comment>
    <comment ref="J1" authorId="0" shapeId="0" xr:uid="{AF0E2803-E0A2-43C7-9D26-CB4BB2F463FF}">
      <text>
        <r>
          <rPr>
            <b/>
            <sz val="9"/>
            <color indexed="81"/>
            <rFont val="Tahoma"/>
            <family val="2"/>
          </rPr>
          <t>jennifer.stigers:</t>
        </r>
        <r>
          <rPr>
            <sz val="9"/>
            <color indexed="81"/>
            <rFont val="Tahoma"/>
            <family val="2"/>
          </rPr>
          <t xml:space="preserve">
Appropriation inquiry-Actual Expenses</t>
        </r>
      </text>
    </comment>
    <comment ref="E5" authorId="1" shapeId="0" xr:uid="{3F5C8AE1-A501-46DC-AF4C-8F7207D084EB}">
      <text>
        <r>
          <rPr>
            <b/>
            <sz val="9"/>
            <color indexed="81"/>
            <rFont val="Tahoma"/>
            <family val="2"/>
          </rPr>
          <t>COT:</t>
        </r>
        <r>
          <rPr>
            <sz val="9"/>
            <color indexed="81"/>
            <rFont val="Tahoma"/>
            <family val="2"/>
          </rPr>
          <t xml:space="preserve">
Project is Complete and will be closed per agency</t>
        </r>
      </text>
    </comment>
  </commentList>
</comments>
</file>

<file path=xl/sharedStrings.xml><?xml version="1.0" encoding="utf-8"?>
<sst xmlns="http://schemas.openxmlformats.org/spreadsheetml/2006/main" count="345" uniqueCount="148">
  <si>
    <t>Department</t>
  </si>
  <si>
    <t>Department Name</t>
  </si>
  <si>
    <t>Fund</t>
  </si>
  <si>
    <t>Fund Name</t>
  </si>
  <si>
    <t>Approp</t>
  </si>
  <si>
    <t>Allot</t>
  </si>
  <si>
    <t>Unallotted=
Approp 
-Allot</t>
  </si>
  <si>
    <t>Encumbrance</t>
  </si>
  <si>
    <t>Expenditure</t>
  </si>
  <si>
    <t>Unobligated=
Allot-Exp-Encumbrance</t>
  </si>
  <si>
    <t>Total Available= 
Unallot+Unobligated</t>
  </si>
  <si>
    <t>PhaseName</t>
  </si>
  <si>
    <t>Project % Completed</t>
  </si>
  <si>
    <t>Conven Fees</t>
  </si>
  <si>
    <t>Public Facing</t>
  </si>
  <si>
    <t>Local Govt</t>
  </si>
  <si>
    <t>Legacy</t>
  </si>
  <si>
    <t>agency or vendor developed</t>
  </si>
  <si>
    <t>Department Of Vehicle Regulation</t>
  </si>
  <si>
    <t>C6D1</t>
  </si>
  <si>
    <t>Replace Kentucky Driver Licensing System</t>
  </si>
  <si>
    <t>Initiation</t>
  </si>
  <si>
    <t>Kentucky Communications Network Authority</t>
  </si>
  <si>
    <t>C735</t>
  </si>
  <si>
    <t>Next Generation Kentucky Information Highway</t>
  </si>
  <si>
    <t>Execution</t>
  </si>
  <si>
    <t>066</t>
  </si>
  <si>
    <t>Registry Of Election Finance</t>
  </si>
  <si>
    <t>C86P</t>
  </si>
  <si>
    <t>System Modernization</t>
  </si>
  <si>
    <t>Closing</t>
  </si>
  <si>
    <t>C87G</t>
  </si>
  <si>
    <t>International Registration Plan System Upgrade</t>
  </si>
  <si>
    <t>Office of Information Technology</t>
  </si>
  <si>
    <t>C87H</t>
  </si>
  <si>
    <t>Transportation Enterprise Database II</t>
  </si>
  <si>
    <t>Finance - Office Of The Secretary</t>
  </si>
  <si>
    <t>C8A4</t>
  </si>
  <si>
    <t>Business One-Stop Portal - Phase III</t>
  </si>
  <si>
    <t>Department Of Revenue</t>
  </si>
  <si>
    <t>C90P</t>
  </si>
  <si>
    <t>Integrated Tax System</t>
  </si>
  <si>
    <t>Employment Services</t>
  </si>
  <si>
    <t>C933</t>
  </si>
  <si>
    <t>Replace Unemployment Insurance System</t>
  </si>
  <si>
    <t>Department For Public Health</t>
  </si>
  <si>
    <t>C939</t>
  </si>
  <si>
    <t>Vital Statistics Digitized System</t>
  </si>
  <si>
    <t>C93A</t>
  </si>
  <si>
    <t>Scan and Image Historical Records</t>
  </si>
  <si>
    <t>Kentucky State Police</t>
  </si>
  <si>
    <t>C93G</t>
  </si>
  <si>
    <t>Two-Way Radio System Replacement</t>
  </si>
  <si>
    <t>Office of the Secretary</t>
  </si>
  <si>
    <t>C93P</t>
  </si>
  <si>
    <t>Claims Payment Management System</t>
  </si>
  <si>
    <t>035</t>
  </si>
  <si>
    <t>Department Of Agriculture</t>
  </si>
  <si>
    <t>C9QH</t>
  </si>
  <si>
    <t>Inspection and Licensing Project</t>
  </si>
  <si>
    <t>040</t>
  </si>
  <si>
    <t>Attorney General</t>
  </si>
  <si>
    <t>C9QJ</t>
  </si>
  <si>
    <t>Upgrade Technology</t>
  </si>
  <si>
    <t>Office of Support Services</t>
  </si>
  <si>
    <t>C9R5</t>
  </si>
  <si>
    <t>AASHTOWare</t>
  </si>
  <si>
    <t>C9SD</t>
  </si>
  <si>
    <t>WIC Modernization</t>
  </si>
  <si>
    <t>Kentucky Heritage Council</t>
  </si>
  <si>
    <t>C9U2</t>
  </si>
  <si>
    <t>Records Digitization</t>
  </si>
  <si>
    <t>CA2L</t>
  </si>
  <si>
    <t>KYTC Facilities Technology Modernization</t>
  </si>
  <si>
    <t>Department of Workforce Development</t>
  </si>
  <si>
    <t>CA52</t>
  </si>
  <si>
    <t>OVR Case Management Fund</t>
  </si>
  <si>
    <t>Kentucky Educational Television</t>
  </si>
  <si>
    <t>CA8T</t>
  </si>
  <si>
    <t>KET NEXT GEN PROJECT</t>
  </si>
  <si>
    <t>CAG3</t>
  </si>
  <si>
    <t>AGR Inspection and Licensing  Project</t>
  </si>
  <si>
    <t>079</t>
  </si>
  <si>
    <t>Commonwealth Office Of Technology</t>
  </si>
  <si>
    <t>CAHM</t>
  </si>
  <si>
    <t>Kentucky Business OneStop (KyBOS) Phase-IV</t>
  </si>
  <si>
    <t>Planning</t>
  </si>
  <si>
    <t>CAHN</t>
  </si>
  <si>
    <t>Hybrid-Cloud Service Architecture</t>
  </si>
  <si>
    <t>Office Of The Controller</t>
  </si>
  <si>
    <t>CAHP</t>
  </si>
  <si>
    <t>eMARS Upgrade and Systems Enhancement</t>
  </si>
  <si>
    <t>Council On Postsecondary Education</t>
  </si>
  <si>
    <t>CAJ1</t>
  </si>
  <si>
    <t>Upgrade Ky Regional Optical Network Infrastruc Enhancement</t>
  </si>
  <si>
    <t>CAKC</t>
  </si>
  <si>
    <t>Labor Market Data Technologies for Job  Matching</t>
  </si>
  <si>
    <t>CAKL</t>
  </si>
  <si>
    <t>Public Safety Emergency Warning and Alert</t>
  </si>
  <si>
    <t>Department for Income Support</t>
  </si>
  <si>
    <t>CAKN</t>
  </si>
  <si>
    <t>Kentucky Child Support Enforcement System (KASES - III)</t>
  </si>
  <si>
    <t>Department For Community Based Services</t>
  </si>
  <si>
    <t>CAKR</t>
  </si>
  <si>
    <t>The Workers Information System (TWIST) Modernization Project</t>
  </si>
  <si>
    <t>CAKS</t>
  </si>
  <si>
    <t>The Workers Information System(TWIST)Case File Digitization</t>
  </si>
  <si>
    <t>Department For Public Advocacy</t>
  </si>
  <si>
    <t>CAKU</t>
  </si>
  <si>
    <t>Case Management  System</t>
  </si>
  <si>
    <t>Department Of Education</t>
  </si>
  <si>
    <t>CALN</t>
  </si>
  <si>
    <t>Education Finance Applications</t>
  </si>
  <si>
    <t>Yes</t>
  </si>
  <si>
    <t>No</t>
  </si>
  <si>
    <t>Agency</t>
  </si>
  <si>
    <t>Yes-Hybrid</t>
  </si>
  <si>
    <t>Vendor</t>
  </si>
  <si>
    <t xml:space="preserve">Yes  </t>
  </si>
  <si>
    <t>Yes LHDs</t>
  </si>
  <si>
    <t>Not Decided at this time</t>
  </si>
  <si>
    <t>N/A</t>
  </si>
  <si>
    <t>Cabinet - Agency</t>
  </si>
  <si>
    <t>KYTC - Vehicle Registration</t>
  </si>
  <si>
    <t>GEN Gov - KCNA</t>
  </si>
  <si>
    <t>GEN Gov - KREF</t>
  </si>
  <si>
    <t>KYTC - IT</t>
  </si>
  <si>
    <t>FIN – COT</t>
  </si>
  <si>
    <t>FIN - DOR</t>
  </si>
  <si>
    <t>ELC - UI</t>
  </si>
  <si>
    <t>CHFS – DPH</t>
  </si>
  <si>
    <t>CHFS - DPH</t>
  </si>
  <si>
    <t>JUS - KSP</t>
  </si>
  <si>
    <t>Labor - Workers Claims</t>
  </si>
  <si>
    <t>GEN Gov - Agriculture</t>
  </si>
  <si>
    <t>GEN Gov - KYOAG</t>
  </si>
  <si>
    <t>KYTC - Dept of Highways</t>
  </si>
  <si>
    <t>TAH - Heritage Council</t>
  </si>
  <si>
    <t>ELC - Workforce Investment</t>
  </si>
  <si>
    <t>ELC - KET</t>
  </si>
  <si>
    <t>FIN - COT</t>
  </si>
  <si>
    <t>FIN - Controller</t>
  </si>
  <si>
    <t>ELC- CPE</t>
  </si>
  <si>
    <t>ELC - OOS</t>
  </si>
  <si>
    <t>CHFS - DIS</t>
  </si>
  <si>
    <t>CHFS - DCBS</t>
  </si>
  <si>
    <t>ELC - KDE</t>
  </si>
  <si>
    <t>JUS - DPA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</si>
</sst>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43" fontId="2" fillId="2" borderId="2" xfId="2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0" xfId="1" applyFont="1"/>
    <xf numFmtId="0" fontId="4" fillId="0" borderId="5" xfId="1" applyFont="1" applyBorder="1"/>
    <xf numFmtId="43" fontId="4" fillId="0" borderId="0" xfId="2" applyFont="1" applyFill="1"/>
    <xf numFmtId="0" fontId="4" fillId="0" borderId="2" xfId="1" applyFont="1" applyBorder="1"/>
    <xf numFmtId="164" fontId="4" fillId="0" borderId="2" xfId="1" applyNumberFormat="1" applyFont="1" applyBorder="1"/>
    <xf numFmtId="164" fontId="4" fillId="4" borderId="2" xfId="1" applyNumberFormat="1" applyFont="1" applyFill="1" applyBorder="1"/>
    <xf numFmtId="164" fontId="4" fillId="4" borderId="2" xfId="1" applyNumberFormat="1" applyFont="1" applyFill="1" applyBorder="1" applyAlignment="1">
      <alignment wrapText="1"/>
    </xf>
    <xf numFmtId="9" fontId="4" fillId="0" borderId="6" xfId="1" applyNumberFormat="1" applyFont="1" applyBorder="1"/>
    <xf numFmtId="43" fontId="4" fillId="0" borderId="0" xfId="2" applyFont="1"/>
    <xf numFmtId="0" fontId="4" fillId="0" borderId="5" xfId="1" quotePrefix="1" applyFont="1" applyBorder="1" applyAlignment="1">
      <alignment horizontal="right"/>
    </xf>
    <xf numFmtId="0" fontId="4" fillId="5" borderId="5" xfId="1" applyFont="1" applyFill="1" applyBorder="1"/>
    <xf numFmtId="0" fontId="4" fillId="5" borderId="5" xfId="1" quotePrefix="1" applyFont="1" applyFill="1" applyBorder="1" applyAlignment="1">
      <alignment horizontal="right"/>
    </xf>
    <xf numFmtId="43" fontId="4" fillId="0" borderId="0" xfId="1" applyNumberFormat="1" applyFont="1"/>
    <xf numFmtId="0" fontId="7" fillId="0" borderId="0" xfId="0" applyFont="1" applyBorder="1" applyAlignment="1">
      <alignment vertical="center"/>
    </xf>
    <xf numFmtId="43" fontId="2" fillId="2" borderId="7" xfId="2" applyFont="1" applyFill="1" applyBorder="1" applyAlignment="1">
      <alignment horizontal="center" vertical="top"/>
    </xf>
  </cellXfs>
  <cellStyles count="3">
    <cellStyle name="Comma 2" xfId="2" xr:uid="{BF8AEC9E-4ABB-4593-9D4A-2AB6CAC03CBA}"/>
    <cellStyle name="Normal" xfId="0" builtinId="0"/>
    <cellStyle name="Normal 2" xfId="1" xr:uid="{27ACF3F2-760C-4DC8-B4E8-95F44066B9B2}"/>
  </cellStyles>
  <dxfs count="37"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13" formatCode="0%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2B31DF-07E7-4090-A789-9DBF8594E962}" name="Table23" displayName="Table23" ref="A1:S33" totalsRowShown="0" headerRowDxfId="36" dataDxfId="34" headerRowBorderDxfId="35" tableBorderDxfId="33" totalsRowBorderDxfId="32">
  <autoFilter ref="A1:S33" xr:uid="{94DA616B-EDF1-4BDC-82E5-050C2FC70F24}"/>
  <sortState xmlns:xlrd2="http://schemas.microsoft.com/office/spreadsheetml/2017/richdata2" ref="A2:N33">
    <sortCondition ref="D1:D33"/>
  </sortState>
  <tableColumns count="19">
    <tableColumn id="1" xr3:uid="{89F0D011-8F80-4112-B60F-F480694C77BC}" name="Department" dataDxfId="31" totalsRowDxfId="30"/>
    <tableColumn id="2" xr3:uid="{7C9DD96E-BC03-4DEF-93F5-B0102970617B}" name="Department Name" dataDxfId="29" totalsRowDxfId="28"/>
    <tableColumn id="19" xr3:uid="{71A924A0-391D-4FCD-9EEE-DA37B2F8DFF2}" name="Cabinet - Agency"/>
    <tableColumn id="3" xr3:uid="{B592F282-3404-4B56-A5FA-F2027AE713CD}" name="Fund" dataDxfId="27" totalsRowDxfId="26"/>
    <tableColumn id="4" xr3:uid="{684A073E-98F2-4B9D-AC46-82D5585AAB51}" name="Fund Name" dataDxfId="25" totalsRowDxfId="24"/>
    <tableColumn id="5" xr3:uid="{E383B994-B90A-4144-9DE0-1459D80D04B4}" name="Approp" dataDxfId="23" totalsRowDxfId="22"/>
    <tableColumn id="6" xr3:uid="{A7E04900-65F0-40AE-97FB-53B47A530E40}" name="Allot" dataDxfId="21" totalsRowDxfId="20"/>
    <tableColumn id="7" xr3:uid="{E1427267-9DE5-42EC-8339-88E142D7D0FB}" name="Unallotted=_x000a_Approp _x000a_-Allot" dataDxfId="19" totalsRowDxfId="18">
      <calculatedColumnFormula>Table23[[#This Row],[Approp]]-Table23[[#This Row],[Allot]]</calculatedColumnFormula>
    </tableColumn>
    <tableColumn id="8" xr3:uid="{521A1445-C769-46DC-8E93-467D559B724E}" name="Encumbrance" dataDxfId="17" totalsRowDxfId="16"/>
    <tableColumn id="9" xr3:uid="{EE84BFAA-6443-46E3-AB71-823F0F0D776C}" name="Expenditure" dataDxfId="15" totalsRowDxfId="14"/>
    <tableColumn id="10" xr3:uid="{D5E6BA2D-2955-47F6-8C9B-5942A331B8FB}" name="Unobligated=_x000a_Allot-Exp-Encumbrance" dataDxfId="13" totalsRowDxfId="12">
      <calculatedColumnFormula>Table23[[#This Row],[Allot]]-Table23[[#This Row],[Expenditure]]-Table23[[#This Row],[Encumbrance]]</calculatedColumnFormula>
    </tableColumn>
    <tableColumn id="11" xr3:uid="{42043311-7CBE-42CE-826B-4BF83A873722}" name="Total Available= _x000a_Unallot+Unobligated" dataDxfId="11" totalsRowDxfId="10">
      <calculatedColumnFormula>Table23[[#This Row],[Unallotted=
Approp 
-Allot]]+Table23[[#This Row],[Unobligated=
Allot-Exp-Encumbrance]]</calculatedColumnFormula>
    </tableColumn>
    <tableColumn id="12" xr3:uid="{91C04617-FA1B-4066-89E6-A0D1DB9636D3}" name="PhaseName" dataDxfId="9" totalsRowDxfId="8"/>
    <tableColumn id="13" xr3:uid="{CB51BBE4-56A0-43EA-A6A6-5235174BB70F}" name="Project % Completed" dataDxfId="7" totalsRowDxfId="6"/>
    <tableColumn id="14" xr3:uid="{FB969E78-67A5-4677-A21F-A2015BF98BDF}" name="Conven Fees" dataDxfId="5" totalsRowDxfId="4" dataCellStyle="Normal 2"/>
    <tableColumn id="16" xr3:uid="{63599938-76CE-4894-B416-3B6F81E0EAFA}" name="Public Facing" dataDxfId="3" dataCellStyle="Normal 2"/>
    <tableColumn id="22" xr3:uid="{6DC998E8-D36D-4E22-AB9C-CC73C9BE1CA5}" name="Local Govt" dataDxfId="2" dataCellStyle="Normal 2"/>
    <tableColumn id="17" xr3:uid="{3D224CC9-950D-4B28-8544-F5592D654E9F}" name="Legacy" dataDxfId="1" dataCellStyle="Normal 2"/>
    <tableColumn id="18" xr3:uid="{DE7EF7D0-6518-40C0-900B-EDF5206C3243}" name="agency or vendor developed" dataDxfId="0" dataCellStyle="Norm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001B-A0FF-4829-85C4-6A9F189307C7}">
  <dimension ref="A1:S33"/>
  <sheetViews>
    <sheetView tabSelected="1" zoomScale="90" zoomScaleNormal="90" workbookViewId="0">
      <selection activeCell="B47" sqref="B47"/>
    </sheetView>
  </sheetViews>
  <sheetFormatPr defaultColWidth="9.1796875" defaultRowHeight="14.5" x14ac:dyDescent="0.35"/>
  <cols>
    <col min="1" max="1" width="12.90625" style="7" customWidth="1"/>
    <col min="2" max="2" width="49" style="15" customWidth="1"/>
    <col min="3" max="3" width="33.90625" style="15" customWidth="1"/>
    <col min="4" max="4" width="10.1796875" style="7" bestFit="1" customWidth="1"/>
    <col min="5" max="5" width="56.1796875" style="7" bestFit="1" customWidth="1"/>
    <col min="6" max="7" width="16" style="7" bestFit="1" customWidth="1"/>
    <col min="8" max="8" width="16.1796875" style="7" bestFit="1" customWidth="1"/>
    <col min="9" max="9" width="17.453125" style="7" bestFit="1" customWidth="1"/>
    <col min="10" max="10" width="16.1796875" style="7" bestFit="1" customWidth="1"/>
    <col min="11" max="11" width="25.81640625" style="7" bestFit="1" customWidth="1"/>
    <col min="12" max="12" width="23.81640625" style="7" bestFit="1" customWidth="1"/>
    <col min="13" max="13" width="15.81640625" style="7" bestFit="1" customWidth="1"/>
    <col min="14" max="14" width="15.1796875" style="7" bestFit="1" customWidth="1"/>
    <col min="15" max="15" width="11.36328125" style="7" customWidth="1"/>
    <col min="16" max="16" width="16.81640625" style="7" bestFit="1" customWidth="1"/>
    <col min="17" max="17" width="13.1796875" style="7" customWidth="1"/>
    <col min="18" max="18" width="15.54296875" style="7" customWidth="1"/>
    <col min="19" max="19" width="30.1796875" style="7" bestFit="1" customWidth="1"/>
    <col min="20" max="16384" width="9.1796875" style="7"/>
  </cols>
  <sheetData>
    <row r="1" spans="1:19" ht="43.5" x14ac:dyDescent="0.35">
      <c r="A1" s="1" t="s">
        <v>0</v>
      </c>
      <c r="B1" s="2" t="s">
        <v>1</v>
      </c>
      <c r="C1" s="21" t="s">
        <v>122</v>
      </c>
      <c r="D1" s="3" t="s">
        <v>2</v>
      </c>
      <c r="E1" s="3" t="s">
        <v>3</v>
      </c>
      <c r="F1" s="4" t="s">
        <v>4</v>
      </c>
      <c r="G1" s="4" t="s">
        <v>5</v>
      </c>
      <c r="H1" s="5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3" t="s">
        <v>11</v>
      </c>
      <c r="N1" s="6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 x14ac:dyDescent="0.35">
      <c r="A2" s="8">
        <v>630</v>
      </c>
      <c r="B2" s="9" t="s">
        <v>18</v>
      </c>
      <c r="C2" s="20" t="s">
        <v>123</v>
      </c>
      <c r="D2" s="8" t="s">
        <v>19</v>
      </c>
      <c r="E2" s="10" t="s">
        <v>20</v>
      </c>
      <c r="F2" s="11">
        <v>12500000</v>
      </c>
      <c r="G2" s="11">
        <v>950000</v>
      </c>
      <c r="H2" s="12">
        <f>Table23[[#This Row],[Approp]]-Table23[[#This Row],[Allot]]</f>
        <v>11550000</v>
      </c>
      <c r="I2" s="11">
        <v>0</v>
      </c>
      <c r="J2" s="11">
        <v>928471.39</v>
      </c>
      <c r="K2" s="12">
        <f>Table23[[#This Row],[Allot]]-Table23[[#This Row],[Expenditure]]-Table23[[#This Row],[Encumbrance]]</f>
        <v>21528.609999999986</v>
      </c>
      <c r="L2" s="13">
        <f>Table23[[#This Row],[Unallotted=
Approp 
-Allot]]+Table23[[#This Row],[Unobligated=
Allot-Exp-Encumbrance]]</f>
        <v>11571528.609999999</v>
      </c>
      <c r="M2" s="10" t="s">
        <v>21</v>
      </c>
      <c r="N2" s="14">
        <v>0.31</v>
      </c>
      <c r="O2" s="7" t="s">
        <v>114</v>
      </c>
      <c r="P2" s="7" t="s">
        <v>113</v>
      </c>
      <c r="Q2" s="7" t="s">
        <v>113</v>
      </c>
      <c r="R2" s="7" t="s">
        <v>118</v>
      </c>
      <c r="S2" s="7" t="s">
        <v>117</v>
      </c>
    </row>
    <row r="3" spans="1:19" x14ac:dyDescent="0.35">
      <c r="A3" s="8">
        <v>137</v>
      </c>
      <c r="B3" s="9" t="s">
        <v>22</v>
      </c>
      <c r="C3" s="20" t="s">
        <v>124</v>
      </c>
      <c r="D3" s="8" t="s">
        <v>23</v>
      </c>
      <c r="E3" s="10" t="s">
        <v>24</v>
      </c>
      <c r="F3" s="11">
        <v>454462400</v>
      </c>
      <c r="G3" s="11">
        <v>410505293.06999999</v>
      </c>
      <c r="H3" s="12">
        <f>Table23[[#This Row],[Approp]]-Table23[[#This Row],[Allot]]</f>
        <v>43957106.930000007</v>
      </c>
      <c r="I3" s="11">
        <v>0</v>
      </c>
      <c r="J3" s="11">
        <v>410505293.06999999</v>
      </c>
      <c r="K3" s="12">
        <f>Table23[[#This Row],[Allot]]-Table23[[#This Row],[Expenditure]]-Table23[[#This Row],[Encumbrance]]</f>
        <v>0</v>
      </c>
      <c r="L3" s="13">
        <f>Table23[[#This Row],[Unallotted=
Approp 
-Allot]]+Table23[[#This Row],[Unobligated=
Allot-Exp-Encumbrance]]</f>
        <v>43957106.930000007</v>
      </c>
      <c r="M3" s="10" t="s">
        <v>25</v>
      </c>
      <c r="N3" s="14">
        <v>0.96</v>
      </c>
      <c r="O3" s="7" t="s">
        <v>114</v>
      </c>
      <c r="P3" s="7" t="s">
        <v>113</v>
      </c>
      <c r="Q3" s="7" t="s">
        <v>113</v>
      </c>
      <c r="R3" s="7" t="s">
        <v>114</v>
      </c>
      <c r="S3" s="7" t="s">
        <v>117</v>
      </c>
    </row>
    <row r="4" spans="1:19" x14ac:dyDescent="0.35">
      <c r="A4" s="16" t="s">
        <v>26</v>
      </c>
      <c r="B4" s="15" t="s">
        <v>27</v>
      </c>
      <c r="C4" s="20" t="s">
        <v>125</v>
      </c>
      <c r="D4" s="8" t="s">
        <v>28</v>
      </c>
      <c r="E4" s="10" t="s">
        <v>29</v>
      </c>
      <c r="F4" s="11">
        <v>1836000</v>
      </c>
      <c r="G4" s="11">
        <v>836000</v>
      </c>
      <c r="H4" s="12">
        <f>Table23[[#This Row],[Approp]]-Table23[[#This Row],[Allot]]</f>
        <v>1000000</v>
      </c>
      <c r="I4" s="11">
        <v>0</v>
      </c>
      <c r="J4" s="11">
        <v>333510.56</v>
      </c>
      <c r="K4" s="12">
        <f>Table23[[#This Row],[Allot]]-Table23[[#This Row],[Expenditure]]-Table23[[#This Row],[Encumbrance]]</f>
        <v>502489.44</v>
      </c>
      <c r="L4" s="13">
        <f>Table23[[#This Row],[Unallotted=
Approp 
-Allot]]+Table23[[#This Row],[Unobligated=
Allot-Exp-Encumbrance]]</f>
        <v>1502489.44</v>
      </c>
      <c r="M4" s="10" t="s">
        <v>30</v>
      </c>
      <c r="N4" s="14">
        <v>0.02</v>
      </c>
      <c r="O4" s="7" t="s">
        <v>114</v>
      </c>
      <c r="P4" s="7" t="s">
        <v>113</v>
      </c>
      <c r="Q4" s="7" t="s">
        <v>114</v>
      </c>
      <c r="R4" s="7" t="s">
        <v>113</v>
      </c>
      <c r="S4" s="7" t="s">
        <v>117</v>
      </c>
    </row>
    <row r="5" spans="1:19" x14ac:dyDescent="0.35">
      <c r="A5" s="8">
        <v>630</v>
      </c>
      <c r="B5" s="9" t="s">
        <v>18</v>
      </c>
      <c r="C5" s="20" t="s">
        <v>123</v>
      </c>
      <c r="D5" s="8" t="s">
        <v>31</v>
      </c>
      <c r="E5" s="10" t="s">
        <v>32</v>
      </c>
      <c r="F5" s="11">
        <v>2500000</v>
      </c>
      <c r="G5" s="11">
        <f>25000+3000+21000+9000+50+283233.94+400000+808716.06+800000+150000</f>
        <v>2500000</v>
      </c>
      <c r="H5" s="12">
        <f>Table23[[#This Row],[Approp]]-Table23[[#This Row],[Allot]]</f>
        <v>0</v>
      </c>
      <c r="I5" s="11">
        <v>0</v>
      </c>
      <c r="J5" s="11">
        <v>2040863.85</v>
      </c>
      <c r="K5" s="12">
        <f>Table23[[#This Row],[Allot]]-Table23[[#This Row],[Expenditure]]-Table23[[#This Row],[Encumbrance]]</f>
        <v>459136.14999999991</v>
      </c>
      <c r="L5" s="13">
        <f>Table23[[#This Row],[Unallotted=
Approp 
-Allot]]+Table23[[#This Row],[Unobligated=
Allot-Exp-Encumbrance]]</f>
        <v>459136.14999999991</v>
      </c>
      <c r="M5" s="10" t="s">
        <v>25</v>
      </c>
      <c r="N5" s="14">
        <v>0.82</v>
      </c>
      <c r="O5" s="7" t="s">
        <v>114</v>
      </c>
      <c r="P5" s="7" t="s">
        <v>113</v>
      </c>
      <c r="Q5" s="7" t="s">
        <v>114</v>
      </c>
      <c r="R5" s="7" t="s">
        <v>113</v>
      </c>
      <c r="S5" s="7" t="s">
        <v>117</v>
      </c>
    </row>
    <row r="6" spans="1:19" x14ac:dyDescent="0.35">
      <c r="A6" s="8">
        <v>617</v>
      </c>
      <c r="B6" s="9" t="s">
        <v>33</v>
      </c>
      <c r="C6" s="20" t="s">
        <v>126</v>
      </c>
      <c r="D6" s="8" t="s">
        <v>34</v>
      </c>
      <c r="E6" s="10" t="s">
        <v>35</v>
      </c>
      <c r="F6" s="11">
        <v>3000000</v>
      </c>
      <c r="G6" s="11">
        <f>262943+494300+225000</f>
        <v>982243</v>
      </c>
      <c r="H6" s="12">
        <f>Table23[[#This Row],[Approp]]-Table23[[#This Row],[Allot]]</f>
        <v>2017757</v>
      </c>
      <c r="I6" s="11">
        <v>0</v>
      </c>
      <c r="J6" s="11">
        <v>548455.78</v>
      </c>
      <c r="K6" s="12">
        <f>Table23[[#This Row],[Allot]]-Table23[[#This Row],[Expenditure]]-Table23[[#This Row],[Encumbrance]]</f>
        <v>433787.22</v>
      </c>
      <c r="L6" s="13">
        <f>Table23[[#This Row],[Unallotted=
Approp 
-Allot]]+Table23[[#This Row],[Unobligated=
Allot-Exp-Encumbrance]]</f>
        <v>2451544.2199999997</v>
      </c>
      <c r="M6" s="10" t="s">
        <v>25</v>
      </c>
      <c r="N6" s="14">
        <v>0.19</v>
      </c>
      <c r="O6" s="7" t="s">
        <v>114</v>
      </c>
      <c r="P6" s="7" t="s">
        <v>113</v>
      </c>
      <c r="Q6" s="7" t="s">
        <v>114</v>
      </c>
      <c r="R6" s="7" t="s">
        <v>114</v>
      </c>
      <c r="S6" s="7" t="s">
        <v>120</v>
      </c>
    </row>
    <row r="7" spans="1:19" x14ac:dyDescent="0.35">
      <c r="A7" s="8">
        <v>750</v>
      </c>
      <c r="B7" s="9" t="s">
        <v>36</v>
      </c>
      <c r="C7" s="20" t="s">
        <v>127</v>
      </c>
      <c r="D7" s="8" t="s">
        <v>37</v>
      </c>
      <c r="E7" s="10" t="s">
        <v>38</v>
      </c>
      <c r="F7" s="11">
        <v>12000000</v>
      </c>
      <c r="G7" s="11">
        <v>6000000</v>
      </c>
      <c r="H7" s="12">
        <f>Table23[[#This Row],[Approp]]-Table23[[#This Row],[Allot]]</f>
        <v>6000000</v>
      </c>
      <c r="I7" s="11">
        <v>0</v>
      </c>
      <c r="J7" s="11">
        <v>5542709.54</v>
      </c>
      <c r="K7" s="12">
        <f>Table23[[#This Row],[Allot]]-Table23[[#This Row],[Expenditure]]-Table23[[#This Row],[Encumbrance]]</f>
        <v>457290.45999999996</v>
      </c>
      <c r="L7" s="13">
        <f>Table23[[#This Row],[Unallotted=
Approp 
-Allot]]+Table23[[#This Row],[Unobligated=
Allot-Exp-Encumbrance]]</f>
        <v>6457290.46</v>
      </c>
      <c r="M7" s="10" t="s">
        <v>25</v>
      </c>
      <c r="N7" s="14">
        <v>0.72</v>
      </c>
      <c r="O7" s="7" t="s">
        <v>114</v>
      </c>
      <c r="P7" s="7" t="s">
        <v>113</v>
      </c>
      <c r="Q7" s="7" t="s">
        <v>114</v>
      </c>
      <c r="R7" s="7" t="s">
        <v>114</v>
      </c>
      <c r="S7" s="7" t="s">
        <v>115</v>
      </c>
    </row>
    <row r="8" spans="1:19" ht="15.75" customHeight="1" x14ac:dyDescent="0.35">
      <c r="A8" s="8">
        <v>130</v>
      </c>
      <c r="B8" s="9" t="s">
        <v>39</v>
      </c>
      <c r="C8" s="20" t="s">
        <v>128</v>
      </c>
      <c r="D8" s="8" t="s">
        <v>40</v>
      </c>
      <c r="E8" s="10" t="s">
        <v>41</v>
      </c>
      <c r="F8" s="11">
        <v>92500000</v>
      </c>
      <c r="G8" s="11">
        <f>350000+21206400+3882900+4861200</f>
        <v>30300500</v>
      </c>
      <c r="H8" s="12">
        <f>Table23[[#This Row],[Approp]]-Table23[[#This Row],[Allot]]</f>
        <v>62199500</v>
      </c>
      <c r="I8" s="11">
        <v>0</v>
      </c>
      <c r="J8" s="11">
        <v>26078134.66</v>
      </c>
      <c r="K8" s="12">
        <f>Table23[[#This Row],[Allot]]-Table23[[#This Row],[Expenditure]]-Table23[[#This Row],[Encumbrance]]</f>
        <v>4222365.34</v>
      </c>
      <c r="L8" s="13">
        <f>Table23[[#This Row],[Unallotted=
Approp 
-Allot]]+Table23[[#This Row],[Unobligated=
Allot-Exp-Encumbrance]]</f>
        <v>66421865.340000004</v>
      </c>
      <c r="M8" s="10" t="s">
        <v>25</v>
      </c>
      <c r="N8" s="14">
        <v>0.44</v>
      </c>
      <c r="O8" s="7" t="s">
        <v>114</v>
      </c>
      <c r="P8" s="7" t="s">
        <v>113</v>
      </c>
      <c r="Q8" s="7" t="s">
        <v>114</v>
      </c>
      <c r="R8" s="7" t="s">
        <v>114</v>
      </c>
      <c r="S8" s="7" t="s">
        <v>117</v>
      </c>
    </row>
    <row r="9" spans="1:19" x14ac:dyDescent="0.35">
      <c r="A9" s="8">
        <v>142</v>
      </c>
      <c r="B9" s="9" t="s">
        <v>42</v>
      </c>
      <c r="C9" s="20" t="s">
        <v>129</v>
      </c>
      <c r="D9" s="8" t="s">
        <v>43</v>
      </c>
      <c r="E9" s="10" t="s">
        <v>44</v>
      </c>
      <c r="F9" s="11">
        <v>47500000</v>
      </c>
      <c r="G9" s="11">
        <f>105000+8000+69500+12000+100+5125000+13805400+2355000+1350000+4170000+1000000</f>
        <v>28000000</v>
      </c>
      <c r="H9" s="12">
        <f>Table23[[#This Row],[Approp]]-Table23[[#This Row],[Allot]]</f>
        <v>19500000</v>
      </c>
      <c r="I9" s="11">
        <v>0</v>
      </c>
      <c r="J9" s="11">
        <v>410666.55</v>
      </c>
      <c r="K9" s="12">
        <f>Table23[[#This Row],[Allot]]-Table23[[#This Row],[Expenditure]]-Table23[[#This Row],[Encumbrance]]</f>
        <v>27589333.449999999</v>
      </c>
      <c r="L9" s="13">
        <f>Table23[[#This Row],[Unallotted=
Approp 
-Allot]]+Table23[[#This Row],[Unobligated=
Allot-Exp-Encumbrance]]</f>
        <v>47089333.450000003</v>
      </c>
      <c r="M9" s="10" t="s">
        <v>21</v>
      </c>
      <c r="N9" s="14">
        <v>0.39</v>
      </c>
      <c r="O9" s="7" t="s">
        <v>114</v>
      </c>
      <c r="P9" s="7" t="s">
        <v>113</v>
      </c>
      <c r="Q9" s="7" t="s">
        <v>114</v>
      </c>
      <c r="R9" s="7" t="s">
        <v>113</v>
      </c>
      <c r="S9" s="7" t="s">
        <v>117</v>
      </c>
    </row>
    <row r="10" spans="1:19" x14ac:dyDescent="0.35">
      <c r="A10" s="8">
        <v>728</v>
      </c>
      <c r="B10" s="9" t="s">
        <v>45</v>
      </c>
      <c r="C10" s="20" t="s">
        <v>130</v>
      </c>
      <c r="D10" s="8" t="s">
        <v>46</v>
      </c>
      <c r="E10" s="10" t="s">
        <v>47</v>
      </c>
      <c r="F10" s="11">
        <v>2700000</v>
      </c>
      <c r="G10" s="11">
        <f>2398000+275000+27000</f>
        <v>2700000</v>
      </c>
      <c r="H10" s="12">
        <f>Table23[[#This Row],[Approp]]-Table23[[#This Row],[Allot]]</f>
        <v>0</v>
      </c>
      <c r="I10" s="11">
        <v>0</v>
      </c>
      <c r="J10" s="11">
        <v>1687573.8</v>
      </c>
      <c r="K10" s="12">
        <f>Table23[[#This Row],[Allot]]-Table23[[#This Row],[Expenditure]]-Table23[[#This Row],[Encumbrance]]</f>
        <v>1012426.2</v>
      </c>
      <c r="L10" s="13">
        <f>Table23[[#This Row],[Unallotted=
Approp 
-Allot]]+Table23[[#This Row],[Unobligated=
Allot-Exp-Encumbrance]]</f>
        <v>1012426.2</v>
      </c>
      <c r="M10" s="10" t="s">
        <v>25</v>
      </c>
      <c r="N10" s="14">
        <v>0.45</v>
      </c>
      <c r="O10" s="7" t="s">
        <v>114</v>
      </c>
      <c r="P10" s="7" t="s">
        <v>113</v>
      </c>
      <c r="Q10" s="7" t="s">
        <v>113</v>
      </c>
      <c r="R10" s="7" t="s">
        <v>114</v>
      </c>
      <c r="S10" s="7" t="s">
        <v>115</v>
      </c>
    </row>
    <row r="11" spans="1:19" x14ac:dyDescent="0.35">
      <c r="A11" s="8">
        <v>728</v>
      </c>
      <c r="B11" s="9" t="s">
        <v>45</v>
      </c>
      <c r="C11" s="20" t="s">
        <v>131</v>
      </c>
      <c r="D11" s="8" t="s">
        <v>48</v>
      </c>
      <c r="E11" s="10" t="s">
        <v>49</v>
      </c>
      <c r="F11" s="11">
        <v>5750000</v>
      </c>
      <c r="G11" s="11">
        <f>638264+5077833+17903+16000</f>
        <v>5750000</v>
      </c>
      <c r="H11" s="12">
        <f>Table23[[#This Row],[Approp]]-Table23[[#This Row],[Allot]]</f>
        <v>0</v>
      </c>
      <c r="I11" s="11">
        <v>0</v>
      </c>
      <c r="J11" s="11">
        <v>5216943.2300000004</v>
      </c>
      <c r="K11" s="12">
        <f>Table23[[#This Row],[Allot]]-Table23[[#This Row],[Expenditure]]-Table23[[#This Row],[Encumbrance]]</f>
        <v>533056.76999999955</v>
      </c>
      <c r="L11" s="13">
        <f>Table23[[#This Row],[Unallotted=
Approp 
-Allot]]+Table23[[#This Row],[Unobligated=
Allot-Exp-Encumbrance]]</f>
        <v>533056.76999999955</v>
      </c>
      <c r="M11" s="10" t="s">
        <v>25</v>
      </c>
      <c r="N11" s="14">
        <v>0.86</v>
      </c>
      <c r="O11" s="7" t="s">
        <v>114</v>
      </c>
      <c r="P11" s="7" t="s">
        <v>114</v>
      </c>
      <c r="Q11" s="7" t="s">
        <v>114</v>
      </c>
      <c r="R11" s="7" t="s">
        <v>114</v>
      </c>
      <c r="S11" s="7" t="s">
        <v>117</v>
      </c>
    </row>
    <row r="12" spans="1:19" x14ac:dyDescent="0.35">
      <c r="A12" s="8">
        <v>520</v>
      </c>
      <c r="B12" s="9" t="s">
        <v>50</v>
      </c>
      <c r="C12" s="20" t="s">
        <v>132</v>
      </c>
      <c r="D12" s="8" t="s">
        <v>51</v>
      </c>
      <c r="E12" s="10" t="s">
        <v>52</v>
      </c>
      <c r="F12" s="11">
        <v>168459000</v>
      </c>
      <c r="G12" s="11">
        <f>963300+77420653.78+61700+675000+1380598.42+15863223.19+2860465.86</f>
        <v>99224941.25</v>
      </c>
      <c r="H12" s="12">
        <f>Table23[[#This Row],[Approp]]-Table23[[#This Row],[Allot]]</f>
        <v>69234058.75</v>
      </c>
      <c r="I12" s="11">
        <v>2254324.61</v>
      </c>
      <c r="J12" s="11">
        <v>88601041.469999999</v>
      </c>
      <c r="K12" s="12">
        <f>Table23[[#This Row],[Allot]]-Table23[[#This Row],[Expenditure]]-Table23[[#This Row],[Encumbrance]]</f>
        <v>8369575.1700000018</v>
      </c>
      <c r="L12" s="13">
        <f>Table23[[#This Row],[Unallotted=
Approp 
-Allot]]+Table23[[#This Row],[Unobligated=
Allot-Exp-Encumbrance]]</f>
        <v>77603633.920000002</v>
      </c>
      <c r="M12" s="10" t="s">
        <v>25</v>
      </c>
      <c r="N12" s="14">
        <v>0.3</v>
      </c>
      <c r="O12" s="7" t="s">
        <v>114</v>
      </c>
      <c r="P12" s="7" t="s">
        <v>114</v>
      </c>
      <c r="Q12" s="7" t="s">
        <v>113</v>
      </c>
      <c r="R12" s="7" t="s">
        <v>113</v>
      </c>
      <c r="S12" s="7" t="s">
        <v>115</v>
      </c>
    </row>
    <row r="13" spans="1:19" x14ac:dyDescent="0.35">
      <c r="A13" s="8">
        <v>507</v>
      </c>
      <c r="B13" s="9" t="s">
        <v>53</v>
      </c>
      <c r="C13" s="20" t="s">
        <v>133</v>
      </c>
      <c r="D13" s="8" t="s">
        <v>54</v>
      </c>
      <c r="E13" s="10" t="s">
        <v>55</v>
      </c>
      <c r="F13" s="11">
        <v>2460000</v>
      </c>
      <c r="G13" s="11">
        <v>738080.25</v>
      </c>
      <c r="H13" s="12">
        <f>Table23[[#This Row],[Approp]]-Table23[[#This Row],[Allot]]</f>
        <v>1721919.75</v>
      </c>
      <c r="I13" s="11">
        <v>0</v>
      </c>
      <c r="J13" s="11">
        <v>738080.25</v>
      </c>
      <c r="K13" s="12">
        <f>Table23[[#This Row],[Allot]]-Table23[[#This Row],[Expenditure]]-Table23[[#This Row],[Encumbrance]]</f>
        <v>0</v>
      </c>
      <c r="L13" s="13">
        <f>Table23[[#This Row],[Unallotted=
Approp 
-Allot]]+Table23[[#This Row],[Unobligated=
Allot-Exp-Encumbrance]]</f>
        <v>1721919.75</v>
      </c>
      <c r="M13" s="10" t="s">
        <v>25</v>
      </c>
      <c r="N13" s="14">
        <v>0.99</v>
      </c>
      <c r="O13" s="7" t="s">
        <v>114</v>
      </c>
      <c r="P13" s="7" t="s">
        <v>114</v>
      </c>
      <c r="Q13" s="7" t="s">
        <v>114</v>
      </c>
      <c r="R13" s="7" t="s">
        <v>113</v>
      </c>
      <c r="S13" s="7" t="s">
        <v>115</v>
      </c>
    </row>
    <row r="14" spans="1:19" x14ac:dyDescent="0.35">
      <c r="A14" s="16" t="s">
        <v>56</v>
      </c>
      <c r="B14" s="15" t="s">
        <v>57</v>
      </c>
      <c r="C14" s="20" t="s">
        <v>134</v>
      </c>
      <c r="D14" s="8" t="s">
        <v>58</v>
      </c>
      <c r="E14" s="10" t="s">
        <v>59</v>
      </c>
      <c r="F14" s="11">
        <v>2118000</v>
      </c>
      <c r="G14" s="11">
        <f>57000+2061000</f>
        <v>2118000</v>
      </c>
      <c r="H14" s="12">
        <f>Table23[[#This Row],[Approp]]-Table23[[#This Row],[Allot]]</f>
        <v>0</v>
      </c>
      <c r="I14" s="11">
        <v>0</v>
      </c>
      <c r="J14" s="11">
        <v>1525075.09</v>
      </c>
      <c r="K14" s="12">
        <f>Table23[[#This Row],[Allot]]-Table23[[#This Row],[Expenditure]]-Table23[[#This Row],[Encumbrance]]</f>
        <v>592924.90999999992</v>
      </c>
      <c r="L14" s="13">
        <f>Table23[[#This Row],[Unallotted=
Approp 
-Allot]]+Table23[[#This Row],[Unobligated=
Allot-Exp-Encumbrance]]</f>
        <v>592924.90999999992</v>
      </c>
      <c r="M14" s="10" t="s">
        <v>25</v>
      </c>
      <c r="N14" s="14">
        <v>0.42</v>
      </c>
      <c r="O14" s="7" t="s">
        <v>114</v>
      </c>
      <c r="P14" s="7" t="s">
        <v>113</v>
      </c>
      <c r="Q14" s="7" t="s">
        <v>114</v>
      </c>
      <c r="R14" s="7" t="s">
        <v>114</v>
      </c>
      <c r="S14" s="7" t="s">
        <v>115</v>
      </c>
    </row>
    <row r="15" spans="1:19" x14ac:dyDescent="0.35">
      <c r="A15" s="16" t="s">
        <v>60</v>
      </c>
      <c r="B15" s="15" t="s">
        <v>61</v>
      </c>
      <c r="C15" s="20" t="s">
        <v>135</v>
      </c>
      <c r="D15" s="8" t="s">
        <v>62</v>
      </c>
      <c r="E15" s="10" t="s">
        <v>63</v>
      </c>
      <c r="F15" s="11">
        <v>2000000</v>
      </c>
      <c r="G15" s="11">
        <f>894034+146250</f>
        <v>1040284</v>
      </c>
      <c r="H15" s="12">
        <f>Table23[[#This Row],[Approp]]-Table23[[#This Row],[Allot]]</f>
        <v>959716</v>
      </c>
      <c r="I15" s="11">
        <v>0</v>
      </c>
      <c r="J15" s="11">
        <v>853682.36</v>
      </c>
      <c r="K15" s="12">
        <f>Table23[[#This Row],[Allot]]-Table23[[#This Row],[Expenditure]]-Table23[[#This Row],[Encumbrance]]</f>
        <v>186601.64</v>
      </c>
      <c r="L15" s="13">
        <f>Table23[[#This Row],[Unallotted=
Approp 
-Allot]]+Table23[[#This Row],[Unobligated=
Allot-Exp-Encumbrance]]</f>
        <v>1146317.6400000001</v>
      </c>
      <c r="M15" s="10" t="s">
        <v>25</v>
      </c>
      <c r="N15" s="14">
        <v>0.63</v>
      </c>
      <c r="O15" s="7" t="s">
        <v>114</v>
      </c>
      <c r="P15" s="7" t="s">
        <v>116</v>
      </c>
      <c r="Q15" s="7" t="s">
        <v>114</v>
      </c>
      <c r="R15" s="7" t="s">
        <v>113</v>
      </c>
      <c r="S15" s="7" t="s">
        <v>117</v>
      </c>
    </row>
    <row r="16" spans="1:19" x14ac:dyDescent="0.35">
      <c r="A16" s="8">
        <v>609</v>
      </c>
      <c r="B16" s="9" t="s">
        <v>64</v>
      </c>
      <c r="C16" s="20" t="s">
        <v>136</v>
      </c>
      <c r="D16" s="8" t="s">
        <v>65</v>
      </c>
      <c r="E16" s="10" t="s">
        <v>66</v>
      </c>
      <c r="F16" s="11">
        <v>4000000</v>
      </c>
      <c r="G16" s="11">
        <v>3000000</v>
      </c>
      <c r="H16" s="12">
        <f>Table23[[#This Row],[Approp]]-Table23[[#This Row],[Allot]]</f>
        <v>1000000</v>
      </c>
      <c r="I16" s="11">
        <v>0</v>
      </c>
      <c r="J16" s="11">
        <v>1994536.83</v>
      </c>
      <c r="K16" s="12">
        <f>Table23[[#This Row],[Allot]]-Table23[[#This Row],[Expenditure]]-Table23[[#This Row],[Encumbrance]]</f>
        <v>1005463.1699999999</v>
      </c>
      <c r="L16" s="13">
        <f>Table23[[#This Row],[Unallotted=
Approp 
-Allot]]+Table23[[#This Row],[Unobligated=
Allot-Exp-Encumbrance]]</f>
        <v>2005463.17</v>
      </c>
      <c r="M16" s="10" t="s">
        <v>25</v>
      </c>
      <c r="N16" s="14">
        <v>0.49</v>
      </c>
      <c r="O16" s="7" t="s">
        <v>114</v>
      </c>
      <c r="P16" s="7" t="s">
        <v>114</v>
      </c>
      <c r="Q16" s="7" t="s">
        <v>114</v>
      </c>
      <c r="R16" s="7" t="s">
        <v>114</v>
      </c>
      <c r="S16" s="7" t="s">
        <v>117</v>
      </c>
    </row>
    <row r="17" spans="1:19" x14ac:dyDescent="0.35">
      <c r="A17" s="8">
        <v>728</v>
      </c>
      <c r="B17" s="9" t="s">
        <v>45</v>
      </c>
      <c r="C17" s="20" t="s">
        <v>131</v>
      </c>
      <c r="D17" s="8" t="s">
        <v>67</v>
      </c>
      <c r="E17" s="10" t="s">
        <v>68</v>
      </c>
      <c r="F17" s="11">
        <v>10756000</v>
      </c>
      <c r="G17" s="11">
        <f>2016000+8697500+40500+2000</f>
        <v>10756000</v>
      </c>
      <c r="H17" s="12">
        <f>Table23[[#This Row],[Approp]]-Table23[[#This Row],[Allot]]</f>
        <v>0</v>
      </c>
      <c r="I17" s="11">
        <v>0</v>
      </c>
      <c r="J17" s="11">
        <v>296397.24</v>
      </c>
      <c r="K17" s="12">
        <f>Table23[[#This Row],[Allot]]-Table23[[#This Row],[Expenditure]]-Table23[[#This Row],[Encumbrance]]</f>
        <v>10459602.76</v>
      </c>
      <c r="L17" s="13">
        <f>Table23[[#This Row],[Unallotted=
Approp 
-Allot]]+Table23[[#This Row],[Unobligated=
Allot-Exp-Encumbrance]]</f>
        <v>10459602.76</v>
      </c>
      <c r="M17" s="10" t="s">
        <v>21</v>
      </c>
      <c r="N17" s="14">
        <v>0</v>
      </c>
      <c r="O17" s="7" t="s">
        <v>114</v>
      </c>
      <c r="P17" s="7" t="s">
        <v>113</v>
      </c>
      <c r="Q17" s="7" t="s">
        <v>119</v>
      </c>
      <c r="R17" s="7" t="s">
        <v>114</v>
      </c>
      <c r="S17" s="7" t="s">
        <v>120</v>
      </c>
    </row>
    <row r="18" spans="1:19" x14ac:dyDescent="0.35">
      <c r="A18" s="8">
        <v>410</v>
      </c>
      <c r="B18" s="9" t="s">
        <v>69</v>
      </c>
      <c r="C18" s="20" t="s">
        <v>137</v>
      </c>
      <c r="D18" s="8" t="s">
        <v>70</v>
      </c>
      <c r="E18" s="10" t="s">
        <v>71</v>
      </c>
      <c r="F18" s="11">
        <v>1000000</v>
      </c>
      <c r="G18" s="11">
        <f>458557.85+541442.15</f>
        <v>1000000</v>
      </c>
      <c r="H18" s="12">
        <f>Table23[[#This Row],[Approp]]-Table23[[#This Row],[Allot]]</f>
        <v>0</v>
      </c>
      <c r="I18" s="11">
        <v>0</v>
      </c>
      <c r="J18" s="11">
        <v>991091.78</v>
      </c>
      <c r="K18" s="12">
        <f>Table23[[#This Row],[Allot]]-Table23[[#This Row],[Expenditure]]-Table23[[#This Row],[Encumbrance]]</f>
        <v>8908.2199999999721</v>
      </c>
      <c r="L18" s="13">
        <f>Table23[[#This Row],[Unallotted=
Approp 
-Allot]]+Table23[[#This Row],[Unobligated=
Allot-Exp-Encumbrance]]</f>
        <v>8908.2199999999721</v>
      </c>
      <c r="M18" s="10" t="s">
        <v>30</v>
      </c>
      <c r="N18" s="14">
        <v>0.98</v>
      </c>
      <c r="O18" s="7" t="s">
        <v>114</v>
      </c>
      <c r="P18" s="7" t="s">
        <v>113</v>
      </c>
      <c r="Q18" s="7" t="s">
        <v>114</v>
      </c>
      <c r="R18" s="7" t="s">
        <v>114</v>
      </c>
      <c r="S18" s="7" t="s">
        <v>115</v>
      </c>
    </row>
    <row r="19" spans="1:19" x14ac:dyDescent="0.35">
      <c r="A19" s="8">
        <v>617</v>
      </c>
      <c r="B19" s="9" t="s">
        <v>33</v>
      </c>
      <c r="C19" s="20" t="s">
        <v>126</v>
      </c>
      <c r="D19" s="8" t="s">
        <v>72</v>
      </c>
      <c r="E19" s="10" t="s">
        <v>73</v>
      </c>
      <c r="F19" s="11">
        <v>1450000</v>
      </c>
      <c r="G19" s="11">
        <f>250000+300000+670000+200000+30000</f>
        <v>1450000</v>
      </c>
      <c r="H19" s="12">
        <f>Table23[[#This Row],[Approp]]-Table23[[#This Row],[Allot]]</f>
        <v>0</v>
      </c>
      <c r="I19" s="11">
        <v>0</v>
      </c>
      <c r="J19" s="11">
        <v>691445.99</v>
      </c>
      <c r="K19" s="12">
        <f>Table23[[#This Row],[Allot]]-Table23[[#This Row],[Expenditure]]-Table23[[#This Row],[Encumbrance]]</f>
        <v>758554.01</v>
      </c>
      <c r="L19" s="13">
        <f>Table23[[#This Row],[Unallotted=
Approp 
-Allot]]+Table23[[#This Row],[Unobligated=
Allot-Exp-Encumbrance]]</f>
        <v>758554.01</v>
      </c>
      <c r="M19" s="10" t="s">
        <v>25</v>
      </c>
      <c r="N19" s="14">
        <v>0.94</v>
      </c>
      <c r="O19" s="7" t="s">
        <v>114</v>
      </c>
      <c r="P19" s="7" t="s">
        <v>114</v>
      </c>
      <c r="Q19" s="7" t="s">
        <v>114</v>
      </c>
      <c r="R19" s="7" t="s">
        <v>114</v>
      </c>
      <c r="S19" s="7" t="s">
        <v>115</v>
      </c>
    </row>
    <row r="20" spans="1:19" x14ac:dyDescent="0.35">
      <c r="A20" s="8">
        <v>531</v>
      </c>
      <c r="B20" s="9" t="s">
        <v>74</v>
      </c>
      <c r="C20" s="20" t="s">
        <v>138</v>
      </c>
      <c r="D20" s="8" t="s">
        <v>75</v>
      </c>
      <c r="E20" s="10" t="s">
        <v>76</v>
      </c>
      <c r="F20" s="11">
        <v>4620000</v>
      </c>
      <c r="G20" s="11">
        <v>3000000</v>
      </c>
      <c r="H20" s="12">
        <f>Table23[[#This Row],[Approp]]-Table23[[#This Row],[Allot]]</f>
        <v>1620000</v>
      </c>
      <c r="I20" s="11">
        <v>0</v>
      </c>
      <c r="J20" s="11">
        <v>493650</v>
      </c>
      <c r="K20" s="12">
        <f>Table23[[#This Row],[Allot]]-Table23[[#This Row],[Expenditure]]-Table23[[#This Row],[Encumbrance]]</f>
        <v>2506350</v>
      </c>
      <c r="L20" s="13">
        <f>Table23[[#This Row],[Unallotted=
Approp 
-Allot]]+Table23[[#This Row],[Unobligated=
Allot-Exp-Encumbrance]]</f>
        <v>4126350</v>
      </c>
      <c r="M20" s="10" t="s">
        <v>25</v>
      </c>
      <c r="N20" s="14">
        <v>0.4</v>
      </c>
      <c r="O20" s="7" t="s">
        <v>114</v>
      </c>
      <c r="P20" s="7" t="s">
        <v>113</v>
      </c>
      <c r="Q20" s="7" t="s">
        <v>114</v>
      </c>
      <c r="R20" s="7" t="s">
        <v>114</v>
      </c>
      <c r="S20" s="7" t="s">
        <v>117</v>
      </c>
    </row>
    <row r="21" spans="1:19" x14ac:dyDescent="0.35">
      <c r="A21" s="17">
        <v>545</v>
      </c>
      <c r="B21" s="9" t="s">
        <v>77</v>
      </c>
      <c r="C21" s="20" t="s">
        <v>139</v>
      </c>
      <c r="D21" s="8" t="s">
        <v>78</v>
      </c>
      <c r="E21" s="10" t="s">
        <v>79</v>
      </c>
      <c r="F21" s="11">
        <v>13000000</v>
      </c>
      <c r="G21" s="11">
        <f>470994.79+12529005.21</f>
        <v>13000000</v>
      </c>
      <c r="H21" s="12">
        <f>Table23[[#This Row],[Approp]]-Table23[[#This Row],[Allot]]</f>
        <v>0</v>
      </c>
      <c r="I21" s="11">
        <v>911179.21</v>
      </c>
      <c r="J21" s="11">
        <v>11791681.199999999</v>
      </c>
      <c r="K21" s="12">
        <f>Table23[[#This Row],[Allot]]-Table23[[#This Row],[Expenditure]]-Table23[[#This Row],[Encumbrance]]</f>
        <v>297139.59000000078</v>
      </c>
      <c r="L21" s="13">
        <f>Table23[[#This Row],[Unallotted=
Approp 
-Allot]]+Table23[[#This Row],[Unobligated=
Allot-Exp-Encumbrance]]</f>
        <v>297139.59000000078</v>
      </c>
      <c r="M21" s="10" t="s">
        <v>25</v>
      </c>
      <c r="N21" s="14">
        <v>0.94</v>
      </c>
      <c r="O21" s="7" t="s">
        <v>114</v>
      </c>
      <c r="P21" s="7" t="s">
        <v>113</v>
      </c>
      <c r="Q21" s="7" t="s">
        <v>114</v>
      </c>
      <c r="R21" s="7" t="s">
        <v>114</v>
      </c>
      <c r="S21" s="7" t="s">
        <v>117</v>
      </c>
    </row>
    <row r="22" spans="1:19" x14ac:dyDescent="0.35">
      <c r="A22" s="16" t="s">
        <v>56</v>
      </c>
      <c r="B22" s="15" t="s">
        <v>57</v>
      </c>
      <c r="C22" s="20" t="s">
        <v>134</v>
      </c>
      <c r="D22" s="8" t="s">
        <v>80</v>
      </c>
      <c r="E22" s="10" t="s">
        <v>81</v>
      </c>
      <c r="F22" s="11">
        <v>2118000</v>
      </c>
      <c r="G22" s="11">
        <v>0</v>
      </c>
      <c r="H22" s="12">
        <f>Table23[[#This Row],[Approp]]-Table23[[#This Row],[Allot]]</f>
        <v>2118000</v>
      </c>
      <c r="I22" s="11">
        <v>0</v>
      </c>
      <c r="J22" s="11">
        <v>0</v>
      </c>
      <c r="K22" s="12">
        <f>Table23[[#This Row],[Allot]]-Table23[[#This Row],[Expenditure]]-Table23[[#This Row],[Encumbrance]]</f>
        <v>0</v>
      </c>
      <c r="L22" s="13">
        <f>Table23[[#This Row],[Unallotted=
Approp 
-Allot]]+Table23[[#This Row],[Unobligated=
Allot-Exp-Encumbrance]]</f>
        <v>2118000</v>
      </c>
      <c r="M22" s="10" t="s">
        <v>21</v>
      </c>
      <c r="N22" s="14">
        <v>0</v>
      </c>
      <c r="O22" s="7" t="s">
        <v>114</v>
      </c>
      <c r="P22" s="7" t="s">
        <v>114</v>
      </c>
      <c r="Q22" s="7" t="s">
        <v>114</v>
      </c>
      <c r="R22" s="7" t="s">
        <v>114</v>
      </c>
      <c r="S22" s="7" t="s">
        <v>121</v>
      </c>
    </row>
    <row r="23" spans="1:19" x14ac:dyDescent="0.35">
      <c r="A23" s="18" t="s">
        <v>82</v>
      </c>
      <c r="B23" s="9" t="s">
        <v>83</v>
      </c>
      <c r="C23" s="20" t="s">
        <v>127</v>
      </c>
      <c r="D23" s="8" t="s">
        <v>84</v>
      </c>
      <c r="E23" s="10" t="s">
        <v>85</v>
      </c>
      <c r="F23" s="11">
        <v>4128000</v>
      </c>
      <c r="G23" s="11">
        <v>0</v>
      </c>
      <c r="H23" s="12">
        <f>Table23[[#This Row],[Approp]]-Table23[[#This Row],[Allot]]</f>
        <v>4128000</v>
      </c>
      <c r="I23" s="11">
        <v>0</v>
      </c>
      <c r="J23" s="11">
        <v>0</v>
      </c>
      <c r="K23" s="12">
        <f>Table23[[#This Row],[Allot]]-Table23[[#This Row],[Expenditure]]-Table23[[#This Row],[Encumbrance]]</f>
        <v>0</v>
      </c>
      <c r="L23" s="13">
        <f>Table23[[#This Row],[Unallotted=
Approp 
-Allot]]+Table23[[#This Row],[Unobligated=
Allot-Exp-Encumbrance]]</f>
        <v>4128000</v>
      </c>
      <c r="M23" s="10" t="s">
        <v>86</v>
      </c>
      <c r="N23" s="14">
        <v>0</v>
      </c>
      <c r="O23" s="7" t="s">
        <v>114</v>
      </c>
      <c r="P23" s="7" t="s">
        <v>113</v>
      </c>
      <c r="Q23" s="7" t="s">
        <v>114</v>
      </c>
      <c r="R23" s="7" t="s">
        <v>114</v>
      </c>
      <c r="S23" s="7" t="s">
        <v>115</v>
      </c>
    </row>
    <row r="24" spans="1:19" x14ac:dyDescent="0.35">
      <c r="A24" s="16" t="s">
        <v>82</v>
      </c>
      <c r="B24" s="9" t="s">
        <v>83</v>
      </c>
      <c r="C24" s="20" t="s">
        <v>140</v>
      </c>
      <c r="D24" s="8" t="s">
        <v>87</v>
      </c>
      <c r="E24" s="10" t="s">
        <v>88</v>
      </c>
      <c r="F24" s="11">
        <v>3000000</v>
      </c>
      <c r="G24" s="11">
        <v>0</v>
      </c>
      <c r="H24" s="12">
        <f>Table23[[#This Row],[Approp]]-Table23[[#This Row],[Allot]]</f>
        <v>3000000</v>
      </c>
      <c r="I24" s="11">
        <v>0</v>
      </c>
      <c r="J24" s="11">
        <v>0</v>
      </c>
      <c r="K24" s="12">
        <f>Table23[[#This Row],[Allot]]-Table23[[#This Row],[Expenditure]]-Table23[[#This Row],[Encumbrance]]</f>
        <v>0</v>
      </c>
      <c r="L24" s="13">
        <f>Table23[[#This Row],[Unallotted=
Approp 
-Allot]]+Table23[[#This Row],[Unobligated=
Allot-Exp-Encumbrance]]</f>
        <v>3000000</v>
      </c>
      <c r="M24" s="10" t="s">
        <v>86</v>
      </c>
      <c r="N24" s="14">
        <v>0.06</v>
      </c>
      <c r="O24" s="7" t="s">
        <v>114</v>
      </c>
      <c r="P24" s="7" t="s">
        <v>113</v>
      </c>
      <c r="Q24" s="7" t="s">
        <v>114</v>
      </c>
      <c r="R24" s="7" t="s">
        <v>114</v>
      </c>
      <c r="S24" s="7" t="s">
        <v>117</v>
      </c>
    </row>
    <row r="25" spans="1:19" x14ac:dyDescent="0.35">
      <c r="A25" s="8">
        <v>758</v>
      </c>
      <c r="B25" s="9" t="s">
        <v>89</v>
      </c>
      <c r="C25" s="20" t="s">
        <v>141</v>
      </c>
      <c r="D25" s="8" t="s">
        <v>90</v>
      </c>
      <c r="E25" s="10" t="s">
        <v>91</v>
      </c>
      <c r="F25" s="11">
        <v>14000000</v>
      </c>
      <c r="G25" s="11">
        <f>2500000+11224285+275715</f>
        <v>14000000</v>
      </c>
      <c r="H25" s="12">
        <f>Table23[[#This Row],[Approp]]-Table23[[#This Row],[Allot]]</f>
        <v>0</v>
      </c>
      <c r="I25" s="11">
        <v>0</v>
      </c>
      <c r="J25" s="11">
        <v>11040473.130000001</v>
      </c>
      <c r="K25" s="12">
        <f>Table23[[#This Row],[Allot]]-Table23[[#This Row],[Expenditure]]-Table23[[#This Row],[Encumbrance]]</f>
        <v>2959526.8699999992</v>
      </c>
      <c r="L25" s="13">
        <f>Table23[[#This Row],[Unallotted=
Approp 
-Allot]]+Table23[[#This Row],[Unobligated=
Allot-Exp-Encumbrance]]</f>
        <v>2959526.8699999992</v>
      </c>
      <c r="M25" s="10" t="s">
        <v>25</v>
      </c>
      <c r="N25" s="14">
        <v>0.94</v>
      </c>
      <c r="O25" s="7" t="s">
        <v>114</v>
      </c>
      <c r="P25" s="7" t="s">
        <v>114</v>
      </c>
      <c r="Q25" s="7" t="s">
        <v>114</v>
      </c>
      <c r="R25" s="7" t="s">
        <v>114</v>
      </c>
      <c r="S25" s="7" t="s">
        <v>117</v>
      </c>
    </row>
    <row r="26" spans="1:19" x14ac:dyDescent="0.35">
      <c r="A26" s="17">
        <v>736</v>
      </c>
      <c r="B26" s="9" t="s">
        <v>92</v>
      </c>
      <c r="C26" s="20" t="s">
        <v>142</v>
      </c>
      <c r="D26" s="8" t="s">
        <v>93</v>
      </c>
      <c r="E26" s="10" t="s">
        <v>94</v>
      </c>
      <c r="F26" s="11">
        <v>1000000</v>
      </c>
      <c r="G26" s="11">
        <v>1000000</v>
      </c>
      <c r="H26" s="12">
        <f>Table23[[#This Row],[Approp]]-Table23[[#This Row],[Allot]]</f>
        <v>0</v>
      </c>
      <c r="I26" s="11">
        <v>0</v>
      </c>
      <c r="J26" s="11">
        <v>393923</v>
      </c>
      <c r="K26" s="12">
        <f>Table23[[#This Row],[Allot]]-Table23[[#This Row],[Expenditure]]-Table23[[#This Row],[Encumbrance]]</f>
        <v>606077</v>
      </c>
      <c r="L26" s="13">
        <f>Table23[[#This Row],[Unallotted=
Approp 
-Allot]]+Table23[[#This Row],[Unobligated=
Allot-Exp-Encumbrance]]</f>
        <v>606077</v>
      </c>
      <c r="M26" s="10" t="s">
        <v>25</v>
      </c>
      <c r="N26" s="14">
        <v>0.6</v>
      </c>
      <c r="O26" s="7" t="s">
        <v>114</v>
      </c>
      <c r="P26" s="7" t="s">
        <v>113</v>
      </c>
      <c r="Q26" s="7" t="s">
        <v>114</v>
      </c>
      <c r="R26" s="7" t="s">
        <v>114</v>
      </c>
      <c r="S26" s="7" t="s">
        <v>117</v>
      </c>
    </row>
    <row r="27" spans="1:19" x14ac:dyDescent="0.35">
      <c r="A27" s="17">
        <v>507</v>
      </c>
      <c r="B27" s="9" t="s">
        <v>53</v>
      </c>
      <c r="C27" s="20" t="s">
        <v>143</v>
      </c>
      <c r="D27" s="8" t="s">
        <v>95</v>
      </c>
      <c r="E27" s="10" t="s">
        <v>96</v>
      </c>
      <c r="F27" s="11">
        <v>6636000</v>
      </c>
      <c r="G27" s="11">
        <v>0</v>
      </c>
      <c r="H27" s="12">
        <f>Table23[[#This Row],[Approp]]-Table23[[#This Row],[Allot]]</f>
        <v>6636000</v>
      </c>
      <c r="I27" s="11">
        <v>0</v>
      </c>
      <c r="J27" s="11">
        <v>0</v>
      </c>
      <c r="K27" s="12">
        <f>Table23[[#This Row],[Allot]]-Table23[[#This Row],[Expenditure]]-Table23[[#This Row],[Encumbrance]]</f>
        <v>0</v>
      </c>
      <c r="L27" s="13">
        <f>Table23[[#This Row],[Unallotted=
Approp 
-Allot]]+Table23[[#This Row],[Unobligated=
Allot-Exp-Encumbrance]]</f>
        <v>6636000</v>
      </c>
      <c r="M27" s="10" t="s">
        <v>86</v>
      </c>
      <c r="N27" s="14">
        <v>0</v>
      </c>
      <c r="O27" s="7" t="s">
        <v>114</v>
      </c>
      <c r="P27" s="7" t="s">
        <v>113</v>
      </c>
      <c r="Q27" s="7" t="s">
        <v>114</v>
      </c>
      <c r="R27" s="7" t="s">
        <v>114</v>
      </c>
      <c r="S27" s="7" t="s">
        <v>120</v>
      </c>
    </row>
    <row r="28" spans="1:19" x14ac:dyDescent="0.35">
      <c r="A28" s="17">
        <v>545</v>
      </c>
      <c r="B28" s="9" t="s">
        <v>77</v>
      </c>
      <c r="C28" s="20" t="s">
        <v>139</v>
      </c>
      <c r="D28" s="8" t="s">
        <v>97</v>
      </c>
      <c r="E28" s="10" t="s">
        <v>98</v>
      </c>
      <c r="F28" s="11">
        <v>1500000</v>
      </c>
      <c r="G28" s="11">
        <f>5000+1495000</f>
        <v>1500000</v>
      </c>
      <c r="H28" s="12">
        <f>Table23[[#This Row],[Approp]]-Table23[[#This Row],[Allot]]</f>
        <v>0</v>
      </c>
      <c r="I28" s="11">
        <v>10487</v>
      </c>
      <c r="J28" s="11">
        <v>1002898.8</v>
      </c>
      <c r="K28" s="12">
        <f>Table23[[#This Row],[Allot]]-Table23[[#This Row],[Expenditure]]-Table23[[#This Row],[Encumbrance]]</f>
        <v>486614.19999999995</v>
      </c>
      <c r="L28" s="13">
        <f>Table23[[#This Row],[Unallotted=
Approp 
-Allot]]+Table23[[#This Row],[Unobligated=
Allot-Exp-Encumbrance]]</f>
        <v>486614.19999999995</v>
      </c>
      <c r="M28" s="10" t="s">
        <v>25</v>
      </c>
      <c r="N28" s="14">
        <v>0.67</v>
      </c>
      <c r="O28" s="7" t="s">
        <v>114</v>
      </c>
      <c r="P28" s="7" t="s">
        <v>113</v>
      </c>
      <c r="Q28" s="7" t="s">
        <v>114</v>
      </c>
      <c r="R28" s="7" t="s">
        <v>114</v>
      </c>
      <c r="S28" s="7" t="s">
        <v>117</v>
      </c>
    </row>
    <row r="29" spans="1:19" x14ac:dyDescent="0.35">
      <c r="A29" s="8">
        <v>727</v>
      </c>
      <c r="B29" s="9" t="s">
        <v>99</v>
      </c>
      <c r="C29" s="20" t="s">
        <v>144</v>
      </c>
      <c r="D29" s="8" t="s">
        <v>100</v>
      </c>
      <c r="E29" s="10" t="s">
        <v>101</v>
      </c>
      <c r="F29" s="11">
        <v>33000000</v>
      </c>
      <c r="G29" s="11">
        <f>1221307+30278693+1500000</f>
        <v>33000000</v>
      </c>
      <c r="H29" s="12">
        <f>Table23[[#This Row],[Approp]]-Table23[[#This Row],[Allot]]</f>
        <v>0</v>
      </c>
      <c r="I29" s="11">
        <v>0</v>
      </c>
      <c r="J29" s="11">
        <v>35876</v>
      </c>
      <c r="K29" s="12">
        <f>Table23[[#This Row],[Allot]]-Table23[[#This Row],[Expenditure]]-Table23[[#This Row],[Encumbrance]]</f>
        <v>32964124</v>
      </c>
      <c r="L29" s="13">
        <f>Table23[[#This Row],[Unallotted=
Approp 
-Allot]]+Table23[[#This Row],[Unobligated=
Allot-Exp-Encumbrance]]</f>
        <v>32964124</v>
      </c>
      <c r="M29" s="10" t="s">
        <v>25</v>
      </c>
      <c r="N29" s="14">
        <v>0.09</v>
      </c>
      <c r="O29" s="7" t="s">
        <v>114</v>
      </c>
      <c r="P29" s="7" t="s">
        <v>113</v>
      </c>
      <c r="Q29" s="7" t="s">
        <v>113</v>
      </c>
      <c r="R29" s="7" t="s">
        <v>113</v>
      </c>
      <c r="S29" s="7" t="s">
        <v>117</v>
      </c>
    </row>
    <row r="30" spans="1:19" x14ac:dyDescent="0.35">
      <c r="A30" s="8">
        <v>736</v>
      </c>
      <c r="B30" s="9" t="s">
        <v>102</v>
      </c>
      <c r="C30" s="20" t="s">
        <v>145</v>
      </c>
      <c r="D30" s="8" t="s">
        <v>103</v>
      </c>
      <c r="E30" s="10" t="s">
        <v>104</v>
      </c>
      <c r="F30" s="11">
        <v>18993000</v>
      </c>
      <c r="G30" s="11">
        <f>14000000+1405000+609000+2979000</f>
        <v>18993000</v>
      </c>
      <c r="H30" s="12">
        <f>Table23[[#This Row],[Approp]]-Table23[[#This Row],[Allot]]</f>
        <v>0</v>
      </c>
      <c r="I30" s="11">
        <v>0</v>
      </c>
      <c r="J30" s="11">
        <v>3837040.4</v>
      </c>
      <c r="K30" s="12">
        <f>Table23[[#This Row],[Allot]]-Table23[[#This Row],[Expenditure]]-Table23[[#This Row],[Encumbrance]]</f>
        <v>15155959.6</v>
      </c>
      <c r="L30" s="13">
        <f>Table23[[#This Row],[Unallotted=
Approp 
-Allot]]+Table23[[#This Row],[Unobligated=
Allot-Exp-Encumbrance]]</f>
        <v>15155959.6</v>
      </c>
      <c r="M30" s="10" t="s">
        <v>25</v>
      </c>
      <c r="N30" s="14">
        <v>0.45</v>
      </c>
      <c r="O30" s="7" t="s">
        <v>114</v>
      </c>
      <c r="P30" s="19" t="s">
        <v>114</v>
      </c>
      <c r="Q30" s="19" t="s">
        <v>113</v>
      </c>
      <c r="R30" s="7" t="s">
        <v>114</v>
      </c>
      <c r="S30" s="7" t="s">
        <v>115</v>
      </c>
    </row>
    <row r="31" spans="1:19" x14ac:dyDescent="0.35">
      <c r="A31" s="8">
        <v>736</v>
      </c>
      <c r="B31" s="9" t="s">
        <v>102</v>
      </c>
      <c r="C31" s="20" t="s">
        <v>145</v>
      </c>
      <c r="D31" s="8" t="s">
        <v>105</v>
      </c>
      <c r="E31" s="10" t="s">
        <v>106</v>
      </c>
      <c r="F31" s="11">
        <v>10000000</v>
      </c>
      <c r="G31" s="11">
        <f>1250000+2550000+12000+375000+813000</f>
        <v>5000000</v>
      </c>
      <c r="H31" s="12">
        <f>Table23[[#This Row],[Approp]]-Table23[[#This Row],[Allot]]</f>
        <v>5000000</v>
      </c>
      <c r="I31" s="11">
        <v>0</v>
      </c>
      <c r="J31" s="11">
        <v>996056.57</v>
      </c>
      <c r="K31" s="12">
        <f>Table23[[#This Row],[Allot]]-Table23[[#This Row],[Expenditure]]-Table23[[#This Row],[Encumbrance]]</f>
        <v>4003943.43</v>
      </c>
      <c r="L31" s="13">
        <f>Table23[[#This Row],[Unallotted=
Approp 
-Allot]]+Table23[[#This Row],[Unobligated=
Allot-Exp-Encumbrance]]</f>
        <v>9003943.4299999997</v>
      </c>
      <c r="M31" s="10" t="s">
        <v>25</v>
      </c>
      <c r="N31" s="14">
        <v>1</v>
      </c>
      <c r="O31" s="7" t="s">
        <v>114</v>
      </c>
      <c r="P31" s="7" t="s">
        <v>114</v>
      </c>
      <c r="Q31" s="7" t="s">
        <v>113</v>
      </c>
      <c r="R31" s="7" t="s">
        <v>114</v>
      </c>
      <c r="S31" s="7" t="s">
        <v>117</v>
      </c>
    </row>
    <row r="32" spans="1:19" x14ac:dyDescent="0.35">
      <c r="A32" s="17">
        <v>515</v>
      </c>
      <c r="B32" s="9" t="s">
        <v>107</v>
      </c>
      <c r="C32" s="20" t="s">
        <v>147</v>
      </c>
      <c r="D32" s="8" t="s">
        <v>108</v>
      </c>
      <c r="E32" s="10" t="s">
        <v>109</v>
      </c>
      <c r="F32" s="11">
        <v>1650000</v>
      </c>
      <c r="G32" s="11">
        <v>0</v>
      </c>
      <c r="H32" s="12">
        <f>Table23[[#This Row],[Approp]]-Table23[[#This Row],[Allot]]</f>
        <v>1650000</v>
      </c>
      <c r="I32" s="11">
        <v>0</v>
      </c>
      <c r="J32" s="11">
        <v>0</v>
      </c>
      <c r="K32" s="12">
        <f>Table23[[#This Row],[Allot]]-Table23[[#This Row],[Expenditure]]-Table23[[#This Row],[Encumbrance]]</f>
        <v>0</v>
      </c>
      <c r="L32" s="13">
        <f>Table23[[#This Row],[Unallotted=
Approp 
-Allot]]+Table23[[#This Row],[Unobligated=
Allot-Exp-Encumbrance]]</f>
        <v>1650000</v>
      </c>
      <c r="M32" s="10" t="s">
        <v>86</v>
      </c>
      <c r="N32" s="14">
        <v>0</v>
      </c>
      <c r="O32" s="7" t="s">
        <v>114</v>
      </c>
      <c r="P32" s="7" t="s">
        <v>114</v>
      </c>
      <c r="Q32" s="7" t="s">
        <v>114</v>
      </c>
      <c r="R32" s="7" t="s">
        <v>113</v>
      </c>
      <c r="S32" s="7" t="s">
        <v>117</v>
      </c>
    </row>
    <row r="33" spans="1:19" x14ac:dyDescent="0.35">
      <c r="A33" s="8">
        <v>540</v>
      </c>
      <c r="B33" s="9" t="s">
        <v>110</v>
      </c>
      <c r="C33" s="20" t="s">
        <v>146</v>
      </c>
      <c r="D33" s="8" t="s">
        <v>111</v>
      </c>
      <c r="E33" s="10" t="s">
        <v>112</v>
      </c>
      <c r="F33" s="11">
        <v>2500000</v>
      </c>
      <c r="G33" s="11">
        <v>0</v>
      </c>
      <c r="H33" s="12">
        <f>Table23[[#This Row],[Approp]]-Table23[[#This Row],[Allot]]</f>
        <v>2500000</v>
      </c>
      <c r="I33" s="11">
        <v>0</v>
      </c>
      <c r="J33" s="11">
        <v>0</v>
      </c>
      <c r="K33" s="12">
        <f>Table23[[#This Row],[Allot]]-Table23[[#This Row],[Expenditure]]-Table23[[#This Row],[Encumbrance]]</f>
        <v>0</v>
      </c>
      <c r="L33" s="13">
        <f>Table23[[#This Row],[Unallotted=
Approp 
-Allot]]+Table23[[#This Row],[Unobligated=
Allot-Exp-Encumbrance]]</f>
        <v>2500000</v>
      </c>
      <c r="M33" s="10" t="s">
        <v>21</v>
      </c>
      <c r="N33" s="14">
        <v>0</v>
      </c>
      <c r="O33" s="7" t="s">
        <v>114</v>
      </c>
      <c r="P33" s="7" t="s">
        <v>114</v>
      </c>
      <c r="Q33" s="7" t="s">
        <v>114</v>
      </c>
      <c r="R33" s="7" t="s">
        <v>114</v>
      </c>
      <c r="S33" s="7" t="s">
        <v>117</v>
      </c>
    </row>
  </sheetData>
  <pageMargins left="0.75" right="0.75" top="1" bottom="1" header="0.5" footer="0.5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COT Final q4 LRC Report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Ruth C (COT)</dc:creator>
  <cp:lastModifiedBy>Day, Ruth C (COT)</cp:lastModifiedBy>
  <dcterms:created xsi:type="dcterms:W3CDTF">2024-07-01T20:18:11Z</dcterms:created>
  <dcterms:modified xsi:type="dcterms:W3CDTF">2024-10-21T16:05:36Z</dcterms:modified>
</cp:coreProperties>
</file>